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okmag-my.sharepoint.com/personal/blong_okmms_org/Documents/OMMS/Projects/"/>
    </mc:Choice>
  </mc:AlternateContent>
  <xr:revisionPtr revIDLastSave="0" documentId="8_{9EE8A5AE-4348-4D02-8082-1406F5DC9BE4}" xr6:coauthVersionLast="46" xr6:coauthVersionMax="46" xr10:uidLastSave="{00000000-0000-0000-0000-000000000000}"/>
  <bookViews>
    <workbookView xWindow="-110" yWindow="-110" windowWidth="25180" windowHeight="16260" xr2:uid="{00000000-000D-0000-FFFF-FFFF00000000}"/>
  </bookViews>
  <sheets>
    <sheet name="Gen Fund Summary" sheetId="2" r:id="rId1"/>
    <sheet name="Gen Fund Raw Data" sheetId="7" r:id="rId2"/>
    <sheet name="PWA Fund Summary" sheetId="8" r:id="rId3"/>
    <sheet name="PWA Raw Data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8" l="1"/>
  <c r="C21" i="8"/>
  <c r="E20" i="8"/>
  <c r="C20" i="8"/>
  <c r="E15" i="8"/>
  <c r="C15" i="8"/>
  <c r="C13" i="8"/>
  <c r="C7" i="9"/>
  <c r="C6" i="9"/>
  <c r="C4" i="9"/>
  <c r="C3" i="9"/>
  <c r="E13" i="8" s="1"/>
  <c r="O2" i="9"/>
  <c r="N2" i="9"/>
  <c r="M2" i="9"/>
  <c r="L2" i="9"/>
  <c r="K2" i="9"/>
  <c r="J2" i="9"/>
  <c r="I2" i="9"/>
  <c r="H2" i="9"/>
  <c r="G2" i="9"/>
  <c r="F2" i="9"/>
  <c r="E2" i="9"/>
  <c r="D2" i="9"/>
  <c r="E22" i="8"/>
  <c r="C22" i="8"/>
  <c r="C21" i="2"/>
  <c r="C20" i="2"/>
  <c r="E15" i="2"/>
  <c r="C15" i="2"/>
  <c r="C13" i="2"/>
  <c r="C3" i="7"/>
  <c r="E13" i="2" s="1"/>
  <c r="C4" i="7"/>
  <c r="C6" i="7"/>
  <c r="E20" i="2" s="1"/>
  <c r="C7" i="7"/>
  <c r="E21" i="2" s="1"/>
  <c r="O2" i="7"/>
  <c r="N2" i="7"/>
  <c r="M2" i="7"/>
  <c r="L2" i="7"/>
  <c r="K2" i="7"/>
  <c r="J2" i="7"/>
  <c r="I2" i="7"/>
  <c r="H2" i="7"/>
  <c r="G2" i="7"/>
  <c r="F2" i="7"/>
  <c r="E2" i="7"/>
  <c r="D2" i="7"/>
  <c r="E18" i="8" l="1"/>
  <c r="E27" i="8" s="1"/>
  <c r="E32" i="8" s="1"/>
  <c r="E34" i="8" s="1"/>
  <c r="G13" i="8"/>
  <c r="C18" i="8"/>
  <c r="C27" i="8" s="1"/>
  <c r="C32" i="8" s="1"/>
  <c r="C34" i="8" s="1"/>
  <c r="G15" i="8"/>
  <c r="C25" i="8"/>
  <c r="E25" i="8"/>
  <c r="E18" i="2"/>
  <c r="E27" i="2" l="1"/>
  <c r="E32" i="2" s="1"/>
  <c r="C18" i="2"/>
  <c r="C27" i="2" l="1"/>
  <c r="E22" i="2"/>
  <c r="E25" i="2" s="1"/>
  <c r="C22" i="2"/>
  <c r="C25" i="2" s="1"/>
  <c r="G15" i="2"/>
  <c r="G13" i="2"/>
  <c r="E34" i="2" l="1"/>
  <c r="C32" i="2"/>
  <c r="C34" i="2" s="1"/>
</calcChain>
</file>

<file path=xl/sharedStrings.xml><?xml version="1.0" encoding="utf-8"?>
<sst xmlns="http://schemas.openxmlformats.org/spreadsheetml/2006/main" count="72" uniqueCount="37">
  <si>
    <t>BUDGET</t>
  </si>
  <si>
    <t>ACTUAL</t>
  </si>
  <si>
    <t>BEGINNING FUND BALANCE</t>
  </si>
  <si>
    <t xml:space="preserve">REVENUES </t>
  </si>
  <si>
    <t>REVENUES OVER (UNDER) EXPENDITURES</t>
  </si>
  <si>
    <t>TRANSFERS IN</t>
  </si>
  <si>
    <t>TRANSFERS OUT</t>
  </si>
  <si>
    <t xml:space="preserve"> NET OTHER</t>
  </si>
  <si>
    <t>INCREASE (DECREASE) TO BEGINNING FUND BALANCE</t>
  </si>
  <si>
    <t>ENDING FUND BALANCE</t>
  </si>
  <si>
    <t>ENDING BALANCE  AS A PERCENTAGE OF ANNUAL REVENUES</t>
  </si>
  <si>
    <t>Financial Statement Summary</t>
  </si>
  <si>
    <t>BUDGETED RESERVE</t>
  </si>
  <si>
    <t>ENDING FUND BALANCE (BEFORE BUDGETED RESERVE)</t>
  </si>
  <si>
    <t>EXPENDITURES</t>
  </si>
  <si>
    <t>Year-To-Date for the Period Ending [Month] [Day], [Year]</t>
  </si>
  <si>
    <t xml:space="preserve"> OF 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</si>
  <si>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</si>
  <si>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</si>
  <si>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</si>
  <si>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</si>
  <si>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</si>
  <si>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</si>
  <si>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</si>
  <si>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</si>
  <si>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</si>
  <si>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</si>
  <si>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</si>
  <si>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</si>
  <si>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Revenues</t>
  </si>
  <si>
    <t>Expenditures</t>
  </si>
  <si>
    <t>Transfers In</t>
  </si>
  <si>
    <t>Transfers Out</t>
  </si>
  <si>
    <t>Budgeted</t>
  </si>
  <si>
    <t>YTD Actuals</t>
  </si>
  <si>
    <t>City/Town of ______</t>
  </si>
  <si>
    <t>______ Public Works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</si>
</sst>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0" fontId="3" fillId="0" borderId="3" xfId="0" applyNumberFormat="1" applyFont="1" applyBorder="1"/>
    <xf numFmtId="42" fontId="6" fillId="0" borderId="0" xfId="0" applyNumberFormat="1" applyFont="1"/>
    <xf numFmtId="0" fontId="6" fillId="0" borderId="0" xfId="0" applyFont="1" applyAlignment="1">
      <alignment horizontal="centerContinuous"/>
    </xf>
    <xf numFmtId="0" fontId="7" fillId="0" borderId="0" xfId="0" applyFont="1"/>
    <xf numFmtId="0" fontId="6" fillId="0" borderId="0" xfId="0" applyFont="1"/>
    <xf numFmtId="9" fontId="6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4" fontId="2" fillId="0" borderId="1" xfId="0" applyNumberFormat="1" applyFont="1" applyBorder="1"/>
    <xf numFmtId="164" fontId="6" fillId="0" borderId="1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1" applyNumberFormat="1" applyFont="1"/>
    <xf numFmtId="164" fontId="3" fillId="2" borderId="1" xfId="0" applyNumberFormat="1" applyFont="1" applyFill="1" applyBorder="1"/>
    <xf numFmtId="9" fontId="2" fillId="2" borderId="0" xfId="0" applyNumberFormat="1" applyFont="1" applyFill="1" applyAlignment="1">
      <alignment horizontal="center"/>
    </xf>
    <xf numFmtId="164" fontId="2" fillId="2" borderId="1" xfId="0" applyNumberFormat="1" applyFont="1" applyFill="1" applyBorder="1"/>
    <xf numFmtId="164" fontId="6" fillId="2" borderId="1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34</xdr:row>
      <xdr:rowOff>38100</xdr:rowOff>
    </xdr:from>
    <xdr:to>
      <xdr:col>0</xdr:col>
      <xdr:colOff>3609975</xdr:colOff>
      <xdr:row>40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900B9793-FB15-49CF-A7F6-3FA36D7A7771}"/>
            </a:ext>
          </a:extLst>
        </xdr:cNvPr>
        <xdr:cNvSpPr txBox="1">
          <a:spLocks noChangeArrowheads="1"/>
        </xdr:cNvSpPr>
      </xdr:nvSpPr>
      <xdr:spPr bwMode="auto">
        <a:xfrm>
          <a:off x="1266825" y="7791450"/>
          <a:ext cx="2343150" cy="1200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This amount is considered the fund's percentage of unappropriated (budget) and unexpended (actual) fund balance reserves. The approved OMMS By-Laws require a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minimum fund balance of five (5) percent of the budget year’s operating expenses.</a:t>
          </a: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3619500</xdr:colOff>
      <xdr:row>34</xdr:row>
      <xdr:rowOff>47623</xdr:rowOff>
    </xdr:from>
    <xdr:to>
      <xdr:col>2</xdr:col>
      <xdr:colOff>304800</xdr:colOff>
      <xdr:row>35</xdr:row>
      <xdr:rowOff>57149</xdr:rowOff>
    </xdr:to>
    <xdr:sp macro="" textlink="">
      <xdr:nvSpPr>
        <xdr:cNvPr id="107" name="Line 3">
          <a:extLst>
            <a:ext uri="{FF2B5EF4-FFF2-40B4-BE49-F238E27FC236}">
              <a16:creationId xmlns:a16="http://schemas.microsoft.com/office/drawing/2014/main" id="{4EA4C35A-CC20-4F75-A49F-E316A7AE3486}"/>
            </a:ext>
          </a:extLst>
        </xdr:cNvPr>
        <xdr:cNvSpPr>
          <a:spLocks noChangeShapeType="1"/>
        </xdr:cNvSpPr>
      </xdr:nvSpPr>
      <xdr:spPr bwMode="auto">
        <a:xfrm flipV="1">
          <a:off x="3619500" y="7800973"/>
          <a:ext cx="1628775" cy="2190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2600325</xdr:colOff>
      <xdr:row>18</xdr:row>
      <xdr:rowOff>28574</xdr:rowOff>
    </xdr:from>
    <xdr:to>
      <xdr:col>0</xdr:col>
      <xdr:colOff>4705350</xdr:colOff>
      <xdr:row>23</xdr:row>
      <xdr:rowOff>180974</xdr:rowOff>
    </xdr:to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2363F767-E1A1-43F3-BD3B-ED7452DC0B82}"/>
            </a:ext>
          </a:extLst>
        </xdr:cNvPr>
        <xdr:cNvSpPr txBox="1">
          <a:spLocks noChangeArrowheads="1"/>
        </xdr:cNvSpPr>
      </xdr:nvSpPr>
      <xdr:spPr bwMode="auto">
        <a:xfrm>
          <a:off x="2600325" y="4552949"/>
          <a:ext cx="2105025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Indicates the current budget, as adopted, plans on collecting this</a:t>
          </a:r>
          <a:r>
            <a:rPr lang="en-US" sz="100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amount</a:t>
          </a:r>
          <a:r>
            <a:rPr lang="en-US" sz="1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revenues in excess of planned expenditures, thereby increasing the fund balance to an acceptable percentage by the end of the fiscal year.</a:t>
          </a:r>
        </a:p>
      </xdr:txBody>
    </xdr:sp>
    <xdr:clientData/>
  </xdr:twoCellAnchor>
  <xdr:twoCellAnchor>
    <xdr:from>
      <xdr:col>2</xdr:col>
      <xdr:colOff>180975</xdr:colOff>
      <xdr:row>4</xdr:row>
      <xdr:rowOff>190499</xdr:rowOff>
    </xdr:from>
    <xdr:to>
      <xdr:col>4</xdr:col>
      <xdr:colOff>876300</xdr:colOff>
      <xdr:row>6</xdr:row>
      <xdr:rowOff>9524</xdr:rowOff>
    </xdr:to>
    <xdr:sp macro="" textlink="">
      <xdr:nvSpPr>
        <xdr:cNvPr id="109" name="Text Box 6">
          <a:extLst>
            <a:ext uri="{FF2B5EF4-FFF2-40B4-BE49-F238E27FC236}">
              <a16:creationId xmlns:a16="http://schemas.microsoft.com/office/drawing/2014/main" id="{ECA431E4-8057-481F-A380-D15BCB95020B}"/>
            </a:ext>
          </a:extLst>
        </xdr:cNvPr>
        <xdr:cNvSpPr txBox="1">
          <a:spLocks noChangeArrowheads="1"/>
        </xdr:cNvSpPr>
      </xdr:nvSpPr>
      <xdr:spPr bwMode="auto">
        <a:xfrm>
          <a:off x="5124450" y="1933574"/>
          <a:ext cx="18573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FUND</a:t>
          </a:r>
        </a:p>
      </xdr:txBody>
    </xdr:sp>
    <xdr:clientData/>
  </xdr:twoCellAnchor>
  <xdr:twoCellAnchor>
    <xdr:from>
      <xdr:col>7</xdr:col>
      <xdr:colOff>381000</xdr:colOff>
      <xdr:row>5</xdr:row>
      <xdr:rowOff>95251</xdr:rowOff>
    </xdr:from>
    <xdr:to>
      <xdr:col>9</xdr:col>
      <xdr:colOff>485235</xdr:colOff>
      <xdr:row>9</xdr:row>
      <xdr:rowOff>167736</xdr:rowOff>
    </xdr:to>
    <xdr:sp macro="" textlink="">
      <xdr:nvSpPr>
        <xdr:cNvPr id="110" name="Text Box 7">
          <a:extLst>
            <a:ext uri="{FF2B5EF4-FFF2-40B4-BE49-F238E27FC236}">
              <a16:creationId xmlns:a16="http://schemas.microsoft.com/office/drawing/2014/main" id="{6EFCB072-A852-4126-B099-446E271404F8}"/>
            </a:ext>
          </a:extLst>
        </xdr:cNvPr>
        <xdr:cNvSpPr txBox="1">
          <a:spLocks noChangeArrowheads="1"/>
        </xdr:cNvSpPr>
      </xdr:nvSpPr>
      <xdr:spPr bwMode="auto">
        <a:xfrm>
          <a:off x="9007415" y="1988270"/>
          <a:ext cx="1326311" cy="851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% is a basic measure of where the fund should be year-to-date compared to budget. </a:t>
          </a:r>
        </a:p>
      </xdr:txBody>
    </xdr:sp>
    <xdr:clientData/>
  </xdr:twoCellAnchor>
  <xdr:twoCellAnchor>
    <xdr:from>
      <xdr:col>7</xdr:col>
      <xdr:colOff>85724</xdr:colOff>
      <xdr:row>7</xdr:row>
      <xdr:rowOff>95249</xdr:rowOff>
    </xdr:from>
    <xdr:to>
      <xdr:col>7</xdr:col>
      <xdr:colOff>390524</xdr:colOff>
      <xdr:row>7</xdr:row>
      <xdr:rowOff>104774</xdr:rowOff>
    </xdr:to>
    <xdr:sp macro="" textlink="">
      <xdr:nvSpPr>
        <xdr:cNvPr id="111" name="Line 8">
          <a:extLst>
            <a:ext uri="{FF2B5EF4-FFF2-40B4-BE49-F238E27FC236}">
              <a16:creationId xmlns:a16="http://schemas.microsoft.com/office/drawing/2014/main" id="{8CDD5672-F5D8-49B6-88E1-4CBF37D19DCF}"/>
            </a:ext>
          </a:extLst>
        </xdr:cNvPr>
        <xdr:cNvSpPr>
          <a:spLocks noChangeShapeType="1"/>
        </xdr:cNvSpPr>
      </xdr:nvSpPr>
      <xdr:spPr bwMode="auto">
        <a:xfrm flipH="1" flipV="1">
          <a:off x="7867649" y="2419349"/>
          <a:ext cx="304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33</xdr:row>
      <xdr:rowOff>9526</xdr:rowOff>
    </xdr:from>
    <xdr:to>
      <xdr:col>9</xdr:col>
      <xdr:colOff>333375</xdr:colOff>
      <xdr:row>37</xdr:row>
      <xdr:rowOff>9525</xdr:rowOff>
    </xdr:to>
    <xdr:sp macro="" textlink="">
      <xdr:nvSpPr>
        <xdr:cNvPr id="112" name="Text Box 10">
          <a:extLst>
            <a:ext uri="{FF2B5EF4-FFF2-40B4-BE49-F238E27FC236}">
              <a16:creationId xmlns:a16="http://schemas.microsoft.com/office/drawing/2014/main" id="{AEEC274A-5234-4E37-BA24-45351A590651}"/>
            </a:ext>
          </a:extLst>
        </xdr:cNvPr>
        <xdr:cNvSpPr txBox="1">
          <a:spLocks noChangeArrowheads="1"/>
        </xdr:cNvSpPr>
      </xdr:nvSpPr>
      <xdr:spPr bwMode="auto">
        <a:xfrm>
          <a:off x="7715250" y="7553326"/>
          <a:ext cx="1619250" cy="819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amount reflects the uncommitted fund balance at the end of the month. This amount should never go below $0 per State law.</a:t>
          </a:r>
        </a:p>
      </xdr:txBody>
    </xdr:sp>
    <xdr:clientData/>
  </xdr:twoCellAnchor>
  <xdr:twoCellAnchor>
    <xdr:from>
      <xdr:col>5</xdr:col>
      <xdr:colOff>76200</xdr:colOff>
      <xdr:row>31</xdr:row>
      <xdr:rowOff>133350</xdr:rowOff>
    </xdr:from>
    <xdr:to>
      <xdr:col>6</xdr:col>
      <xdr:colOff>438150</xdr:colOff>
      <xdr:row>33</xdr:row>
      <xdr:rowOff>9525</xdr:rowOff>
    </xdr:to>
    <xdr:sp macro="" textlink="">
      <xdr:nvSpPr>
        <xdr:cNvPr id="113" name="Line 12">
          <a:extLst>
            <a:ext uri="{FF2B5EF4-FFF2-40B4-BE49-F238E27FC236}">
              <a16:creationId xmlns:a16="http://schemas.microsoft.com/office/drawing/2014/main" id="{21E39AD1-46AF-46D2-9B55-66BB50BEEADB}"/>
            </a:ext>
          </a:extLst>
        </xdr:cNvPr>
        <xdr:cNvSpPr>
          <a:spLocks noChangeShapeType="1"/>
        </xdr:cNvSpPr>
      </xdr:nvSpPr>
      <xdr:spPr bwMode="auto">
        <a:xfrm flipH="1" flipV="1">
          <a:off x="7229475" y="7258050"/>
          <a:ext cx="4762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23</xdr:row>
      <xdr:rowOff>123826</xdr:rowOff>
    </xdr:from>
    <xdr:to>
      <xdr:col>10</xdr:col>
      <xdr:colOff>28575</xdr:colOff>
      <xdr:row>28</xdr:row>
      <xdr:rowOff>134787</xdr:rowOff>
    </xdr:to>
    <xdr:sp macro="" textlink="">
      <xdr:nvSpPr>
        <xdr:cNvPr id="114" name="Text Box 13">
          <a:extLst>
            <a:ext uri="{FF2B5EF4-FFF2-40B4-BE49-F238E27FC236}">
              <a16:creationId xmlns:a16="http://schemas.microsoft.com/office/drawing/2014/main" id="{8E617A88-B643-4A13-9375-337B70B7FA93}"/>
            </a:ext>
          </a:extLst>
        </xdr:cNvPr>
        <xdr:cNvSpPr txBox="1">
          <a:spLocks noChangeArrowheads="1"/>
        </xdr:cNvSpPr>
      </xdr:nvSpPr>
      <xdr:spPr bwMode="auto">
        <a:xfrm>
          <a:off x="8057431" y="5587222"/>
          <a:ext cx="1594988" cy="9994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indicates the fund has received revenues that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more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less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than year-to-date expenditures by this amount.  It is the year-to-date fund balance. 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24</xdr:row>
      <xdr:rowOff>104775</xdr:rowOff>
    </xdr:from>
    <xdr:to>
      <xdr:col>7</xdr:col>
      <xdr:colOff>247650</xdr:colOff>
      <xdr:row>24</xdr:row>
      <xdr:rowOff>104775</xdr:rowOff>
    </xdr:to>
    <xdr:sp macro="" textlink="">
      <xdr:nvSpPr>
        <xdr:cNvPr id="115" name="Line 14">
          <a:extLst>
            <a:ext uri="{FF2B5EF4-FFF2-40B4-BE49-F238E27FC236}">
              <a16:creationId xmlns:a16="http://schemas.microsoft.com/office/drawing/2014/main" id="{2ABB819A-CA55-42FC-995F-DE3050404AF8}"/>
            </a:ext>
          </a:extLst>
        </xdr:cNvPr>
        <xdr:cNvSpPr>
          <a:spLocks noChangeShapeType="1"/>
        </xdr:cNvSpPr>
      </xdr:nvSpPr>
      <xdr:spPr bwMode="auto">
        <a:xfrm flipH="1">
          <a:off x="7315200" y="5829300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4705350</xdr:colOff>
      <xdr:row>22</xdr:row>
      <xdr:rowOff>142875</xdr:rowOff>
    </xdr:from>
    <xdr:to>
      <xdr:col>2</xdr:col>
      <xdr:colOff>66674</xdr:colOff>
      <xdr:row>23</xdr:row>
      <xdr:rowOff>180974</xdr:rowOff>
    </xdr:to>
    <xdr:sp macro="" textlink="">
      <xdr:nvSpPr>
        <xdr:cNvPr id="116" name="Line 15">
          <a:extLst>
            <a:ext uri="{FF2B5EF4-FFF2-40B4-BE49-F238E27FC236}">
              <a16:creationId xmlns:a16="http://schemas.microsoft.com/office/drawing/2014/main" id="{B912B359-ACC8-46FB-9684-D9E5DFCCBF27}"/>
            </a:ext>
          </a:extLst>
        </xdr:cNvPr>
        <xdr:cNvSpPr>
          <a:spLocks noChangeShapeType="1"/>
        </xdr:cNvSpPr>
      </xdr:nvSpPr>
      <xdr:spPr bwMode="auto">
        <a:xfrm>
          <a:off x="4705350" y="5467350"/>
          <a:ext cx="304799" cy="2381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209549</xdr:colOff>
      <xdr:row>15</xdr:row>
      <xdr:rowOff>76199</xdr:rowOff>
    </xdr:from>
    <xdr:to>
      <xdr:col>9</xdr:col>
      <xdr:colOff>600074</xdr:colOff>
      <xdr:row>20</xdr:row>
      <xdr:rowOff>38099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id="{5A75E0FB-A3AB-42FB-BAE3-76C9BD720259}"/>
            </a:ext>
          </a:extLst>
        </xdr:cNvPr>
        <xdr:cNvSpPr txBox="1">
          <a:spLocks noChangeArrowheads="1"/>
        </xdr:cNvSpPr>
      </xdr:nvSpPr>
      <xdr:spPr bwMode="auto">
        <a:xfrm>
          <a:off x="7991474" y="4000499"/>
          <a:ext cx="1609725" cy="962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represents the amount by which fund revenues are more than expenditures prior to net transfers (subsidies) from other funds.</a:t>
          </a: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123825</xdr:colOff>
      <xdr:row>17</xdr:row>
      <xdr:rowOff>66675</xdr:rowOff>
    </xdr:from>
    <xdr:to>
      <xdr:col>7</xdr:col>
      <xdr:colOff>209550</xdr:colOff>
      <xdr:row>17</xdr:row>
      <xdr:rowOff>66675</xdr:rowOff>
    </xdr:to>
    <xdr:sp macro="" textlink="">
      <xdr:nvSpPr>
        <xdr:cNvPr id="118" name="Line 17">
          <a:extLst>
            <a:ext uri="{FF2B5EF4-FFF2-40B4-BE49-F238E27FC236}">
              <a16:creationId xmlns:a16="http://schemas.microsoft.com/office/drawing/2014/main" id="{2096D68B-7F62-49A3-8C3D-C1660DE1E2FB}"/>
            </a:ext>
          </a:extLst>
        </xdr:cNvPr>
        <xdr:cNvSpPr>
          <a:spLocks noChangeShapeType="1"/>
        </xdr:cNvSpPr>
      </xdr:nvSpPr>
      <xdr:spPr bwMode="auto">
        <a:xfrm flipH="1">
          <a:off x="7391400" y="43910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2790825</xdr:colOff>
      <xdr:row>6</xdr:row>
      <xdr:rowOff>76200</xdr:rowOff>
    </xdr:from>
    <xdr:to>
      <xdr:col>0</xdr:col>
      <xdr:colOff>4343400</xdr:colOff>
      <xdr:row>8</xdr:row>
      <xdr:rowOff>171450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id="{4D707E3D-85BC-498A-A32E-929D46EA2718}"/>
            </a:ext>
          </a:extLst>
        </xdr:cNvPr>
        <xdr:cNvSpPr txBox="1">
          <a:spLocks noChangeArrowheads="1"/>
        </xdr:cNvSpPr>
      </xdr:nvSpPr>
      <xdr:spPr bwMode="auto">
        <a:xfrm>
          <a:off x="2790825" y="2200275"/>
          <a:ext cx="155257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 of budgetary fund balance carried over from the end of the prior year. </a:t>
          </a:r>
        </a:p>
      </xdr:txBody>
    </xdr:sp>
    <xdr:clientData/>
  </xdr:twoCellAnchor>
  <xdr:twoCellAnchor>
    <xdr:from>
      <xdr:col>0</xdr:col>
      <xdr:colOff>4333874</xdr:colOff>
      <xdr:row>7</xdr:row>
      <xdr:rowOff>180976</xdr:rowOff>
    </xdr:from>
    <xdr:to>
      <xdr:col>2</xdr:col>
      <xdr:colOff>0</xdr:colOff>
      <xdr:row>9</xdr:row>
      <xdr:rowOff>104776</xdr:rowOff>
    </xdr:to>
    <xdr:sp macro="" textlink="">
      <xdr:nvSpPr>
        <xdr:cNvPr id="120" name="Line 19">
          <a:extLst>
            <a:ext uri="{FF2B5EF4-FFF2-40B4-BE49-F238E27FC236}">
              <a16:creationId xmlns:a16="http://schemas.microsoft.com/office/drawing/2014/main" id="{D580BF51-CFBE-4B3D-AE00-A8FCBC369A1B}"/>
            </a:ext>
          </a:extLst>
        </xdr:cNvPr>
        <xdr:cNvSpPr>
          <a:spLocks noChangeShapeType="1"/>
        </xdr:cNvSpPr>
      </xdr:nvSpPr>
      <xdr:spPr bwMode="auto">
        <a:xfrm>
          <a:off x="4333874" y="2505076"/>
          <a:ext cx="609601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3609975</xdr:colOff>
      <xdr:row>34</xdr:row>
      <xdr:rowOff>95248</xdr:rowOff>
    </xdr:from>
    <xdr:to>
      <xdr:col>4</xdr:col>
      <xdr:colOff>219076</xdr:colOff>
      <xdr:row>39</xdr:row>
      <xdr:rowOff>0</xdr:rowOff>
    </xdr:to>
    <xdr:sp macro="" textlink="">
      <xdr:nvSpPr>
        <xdr:cNvPr id="121" name="Line 22">
          <a:extLst>
            <a:ext uri="{FF2B5EF4-FFF2-40B4-BE49-F238E27FC236}">
              <a16:creationId xmlns:a16="http://schemas.microsoft.com/office/drawing/2014/main" id="{BF44D2A4-1BE3-407C-A830-821519A6F7D5}"/>
            </a:ext>
          </a:extLst>
        </xdr:cNvPr>
        <xdr:cNvSpPr>
          <a:spLocks noChangeShapeType="1"/>
        </xdr:cNvSpPr>
      </xdr:nvSpPr>
      <xdr:spPr bwMode="auto">
        <a:xfrm flipV="1">
          <a:off x="3609975" y="7848598"/>
          <a:ext cx="2714626" cy="9144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34</xdr:row>
      <xdr:rowOff>38100</xdr:rowOff>
    </xdr:from>
    <xdr:to>
      <xdr:col>0</xdr:col>
      <xdr:colOff>3609975</xdr:colOff>
      <xdr:row>40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8880B82-6971-4AAD-B4DB-E7A5DFF80473}"/>
            </a:ext>
          </a:extLst>
        </xdr:cNvPr>
        <xdr:cNvSpPr txBox="1">
          <a:spLocks noChangeArrowheads="1"/>
        </xdr:cNvSpPr>
      </xdr:nvSpPr>
      <xdr:spPr bwMode="auto">
        <a:xfrm>
          <a:off x="1266825" y="6711950"/>
          <a:ext cx="2343150" cy="1177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This amount is considered the fund's percentage of unappropriated (budget) and unexpended (actual) fund balance reserves. The approved OMMS By-Laws require a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minimum fund balance of five (5) percent of the budget year’s operating expenses.</a:t>
          </a: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3619500</xdr:colOff>
      <xdr:row>34</xdr:row>
      <xdr:rowOff>47623</xdr:rowOff>
    </xdr:from>
    <xdr:to>
      <xdr:col>2</xdr:col>
      <xdr:colOff>304800</xdr:colOff>
      <xdr:row>35</xdr:row>
      <xdr:rowOff>57149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57D30D21-B65C-4BF7-8918-FAEAC65FBE23}"/>
            </a:ext>
          </a:extLst>
        </xdr:cNvPr>
        <xdr:cNvSpPr>
          <a:spLocks noChangeShapeType="1"/>
        </xdr:cNvSpPr>
      </xdr:nvSpPr>
      <xdr:spPr bwMode="auto">
        <a:xfrm flipV="1">
          <a:off x="3619500" y="6721473"/>
          <a:ext cx="1866900" cy="2127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2600325</xdr:colOff>
      <xdr:row>18</xdr:row>
      <xdr:rowOff>28574</xdr:rowOff>
    </xdr:from>
    <xdr:to>
      <xdr:col>0</xdr:col>
      <xdr:colOff>4705350</xdr:colOff>
      <xdr:row>23</xdr:row>
      <xdr:rowOff>180974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9EBE3A7-067A-40C9-B4F0-DD5FBA944CE3}"/>
            </a:ext>
          </a:extLst>
        </xdr:cNvPr>
        <xdr:cNvSpPr txBox="1">
          <a:spLocks noChangeArrowheads="1"/>
        </xdr:cNvSpPr>
      </xdr:nvSpPr>
      <xdr:spPr bwMode="auto">
        <a:xfrm>
          <a:off x="2600325" y="3533774"/>
          <a:ext cx="2105025" cy="1136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Indicates the current budget, as adopted, plans on collecting this</a:t>
          </a:r>
          <a:r>
            <a:rPr lang="en-US" sz="100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amount</a:t>
          </a:r>
          <a:r>
            <a:rPr lang="en-US" sz="1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revenues in excess of planned expenditures, thereby increasing the fund balance to an acceptable percentage by the end of the fiscal year.</a:t>
          </a:r>
        </a:p>
      </xdr:txBody>
    </xdr:sp>
    <xdr:clientData/>
  </xdr:twoCellAnchor>
  <xdr:twoCellAnchor>
    <xdr:from>
      <xdr:col>2</xdr:col>
      <xdr:colOff>180975</xdr:colOff>
      <xdr:row>4</xdr:row>
      <xdr:rowOff>190499</xdr:rowOff>
    </xdr:from>
    <xdr:to>
      <xdr:col>4</xdr:col>
      <xdr:colOff>876300</xdr:colOff>
      <xdr:row>6</xdr:row>
      <xdr:rowOff>9524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71DDC3F3-E82C-4A1D-9D86-697E81E3E0E9}"/>
            </a:ext>
          </a:extLst>
        </xdr:cNvPr>
        <xdr:cNvSpPr txBox="1">
          <a:spLocks noChangeArrowheads="1"/>
        </xdr:cNvSpPr>
      </xdr:nvSpPr>
      <xdr:spPr bwMode="auto">
        <a:xfrm>
          <a:off x="5362575" y="958849"/>
          <a:ext cx="1914525" cy="193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PUBLIC WORKS FUND</a:t>
          </a:r>
        </a:p>
      </xdr:txBody>
    </xdr:sp>
    <xdr:clientData/>
  </xdr:twoCellAnchor>
  <xdr:twoCellAnchor>
    <xdr:from>
      <xdr:col>7</xdr:col>
      <xdr:colOff>381000</xdr:colOff>
      <xdr:row>5</xdr:row>
      <xdr:rowOff>95251</xdr:rowOff>
    </xdr:from>
    <xdr:to>
      <xdr:col>9</xdr:col>
      <xdr:colOff>485235</xdr:colOff>
      <xdr:row>9</xdr:row>
      <xdr:rowOff>167736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5594154A-147F-470C-BEEE-2DFD3FEF74D8}"/>
            </a:ext>
          </a:extLst>
        </xdr:cNvPr>
        <xdr:cNvSpPr txBox="1">
          <a:spLocks noChangeArrowheads="1"/>
        </xdr:cNvSpPr>
      </xdr:nvSpPr>
      <xdr:spPr bwMode="auto">
        <a:xfrm>
          <a:off x="9010650" y="1054101"/>
          <a:ext cx="1323435" cy="8471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% is a basic measure of where the fund should be year-to-date compared to budget. </a:t>
          </a:r>
        </a:p>
      </xdr:txBody>
    </xdr:sp>
    <xdr:clientData/>
  </xdr:twoCellAnchor>
  <xdr:twoCellAnchor>
    <xdr:from>
      <xdr:col>7</xdr:col>
      <xdr:colOff>85724</xdr:colOff>
      <xdr:row>7</xdr:row>
      <xdr:rowOff>95249</xdr:rowOff>
    </xdr:from>
    <xdr:to>
      <xdr:col>7</xdr:col>
      <xdr:colOff>390524</xdr:colOff>
      <xdr:row>7</xdr:row>
      <xdr:rowOff>104774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3C8BBF87-5CEF-41D8-B8C7-923897903C90}"/>
            </a:ext>
          </a:extLst>
        </xdr:cNvPr>
        <xdr:cNvSpPr>
          <a:spLocks noChangeShapeType="1"/>
        </xdr:cNvSpPr>
      </xdr:nvSpPr>
      <xdr:spPr bwMode="auto">
        <a:xfrm flipH="1" flipV="1">
          <a:off x="8715374" y="1435099"/>
          <a:ext cx="304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33</xdr:row>
      <xdr:rowOff>9526</xdr:rowOff>
    </xdr:from>
    <xdr:to>
      <xdr:col>9</xdr:col>
      <xdr:colOff>333375</xdr:colOff>
      <xdr:row>37</xdr:row>
      <xdr:rowOff>9525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CFC0530B-B3A6-439C-B0EC-4AAC804DFBCE}"/>
            </a:ext>
          </a:extLst>
        </xdr:cNvPr>
        <xdr:cNvSpPr txBox="1">
          <a:spLocks noChangeArrowheads="1"/>
        </xdr:cNvSpPr>
      </xdr:nvSpPr>
      <xdr:spPr bwMode="auto">
        <a:xfrm>
          <a:off x="8067675" y="6480176"/>
          <a:ext cx="2114550" cy="800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amount reflects the uncommitted fund balance at the end of the month. This amount should never go below $0 per State law.</a:t>
          </a:r>
        </a:p>
      </xdr:txBody>
    </xdr:sp>
    <xdr:clientData/>
  </xdr:twoCellAnchor>
  <xdr:twoCellAnchor>
    <xdr:from>
      <xdr:col>5</xdr:col>
      <xdr:colOff>76200</xdr:colOff>
      <xdr:row>31</xdr:row>
      <xdr:rowOff>133350</xdr:rowOff>
    </xdr:from>
    <xdr:to>
      <xdr:col>6</xdr:col>
      <xdr:colOff>438150</xdr:colOff>
      <xdr:row>33</xdr:row>
      <xdr:rowOff>9525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368814B6-2129-4A45-A617-F22E1F5119C7}"/>
            </a:ext>
          </a:extLst>
        </xdr:cNvPr>
        <xdr:cNvSpPr>
          <a:spLocks noChangeShapeType="1"/>
        </xdr:cNvSpPr>
      </xdr:nvSpPr>
      <xdr:spPr bwMode="auto">
        <a:xfrm flipH="1" flipV="1">
          <a:off x="7575550" y="6197600"/>
          <a:ext cx="482600" cy="28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23</xdr:row>
      <xdr:rowOff>123826</xdr:rowOff>
    </xdr:from>
    <xdr:to>
      <xdr:col>10</xdr:col>
      <xdr:colOff>28575</xdr:colOff>
      <xdr:row>28</xdr:row>
      <xdr:rowOff>134787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77311DD3-BC7F-42B3-B605-66A1A8681DF2}"/>
            </a:ext>
          </a:extLst>
        </xdr:cNvPr>
        <xdr:cNvSpPr txBox="1">
          <a:spLocks noChangeArrowheads="1"/>
        </xdr:cNvSpPr>
      </xdr:nvSpPr>
      <xdr:spPr bwMode="auto">
        <a:xfrm>
          <a:off x="8896350" y="4613276"/>
          <a:ext cx="1590675" cy="9952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indicates the fund has received revenues that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more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less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than year-to-date expenditures by this amount.  It is the year-to-date fund balance. 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24</xdr:row>
      <xdr:rowOff>104775</xdr:rowOff>
    </xdr:from>
    <xdr:to>
      <xdr:col>7</xdr:col>
      <xdr:colOff>247650</xdr:colOff>
      <xdr:row>24</xdr:row>
      <xdr:rowOff>104775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5020A1B7-26E5-40BB-98A2-5F29B1F4933E}"/>
            </a:ext>
          </a:extLst>
        </xdr:cNvPr>
        <xdr:cNvSpPr>
          <a:spLocks noChangeShapeType="1"/>
        </xdr:cNvSpPr>
      </xdr:nvSpPr>
      <xdr:spPr bwMode="auto">
        <a:xfrm flipH="1">
          <a:off x="7667625" y="479107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4705350</xdr:colOff>
      <xdr:row>22</xdr:row>
      <xdr:rowOff>142875</xdr:rowOff>
    </xdr:from>
    <xdr:to>
      <xdr:col>2</xdr:col>
      <xdr:colOff>66674</xdr:colOff>
      <xdr:row>23</xdr:row>
      <xdr:rowOff>180974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2C7DC1FC-2B3B-4942-8F6E-3EAFD76196FC}"/>
            </a:ext>
          </a:extLst>
        </xdr:cNvPr>
        <xdr:cNvSpPr>
          <a:spLocks noChangeShapeType="1"/>
        </xdr:cNvSpPr>
      </xdr:nvSpPr>
      <xdr:spPr bwMode="auto">
        <a:xfrm>
          <a:off x="4705350" y="4435475"/>
          <a:ext cx="542924" cy="2349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209549</xdr:colOff>
      <xdr:row>15</xdr:row>
      <xdr:rowOff>76199</xdr:rowOff>
    </xdr:from>
    <xdr:to>
      <xdr:col>9</xdr:col>
      <xdr:colOff>600074</xdr:colOff>
      <xdr:row>20</xdr:row>
      <xdr:rowOff>38099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A29A9164-552F-4846-B628-B93C7D7FAFB4}"/>
            </a:ext>
          </a:extLst>
        </xdr:cNvPr>
        <xdr:cNvSpPr txBox="1">
          <a:spLocks noChangeArrowheads="1"/>
        </xdr:cNvSpPr>
      </xdr:nvSpPr>
      <xdr:spPr bwMode="auto">
        <a:xfrm>
          <a:off x="8839199" y="2990849"/>
          <a:ext cx="1609725" cy="946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represents the amount by which fund revenues are more than expenditures prior to net transfers (subsidies) from other funds.</a:t>
          </a: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123825</xdr:colOff>
      <xdr:row>17</xdr:row>
      <xdr:rowOff>66675</xdr:rowOff>
    </xdr:from>
    <xdr:to>
      <xdr:col>7</xdr:col>
      <xdr:colOff>209550</xdr:colOff>
      <xdr:row>17</xdr:row>
      <xdr:rowOff>66675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4F7927BA-072F-4144-B272-C522B1DBBC65}"/>
            </a:ext>
          </a:extLst>
        </xdr:cNvPr>
        <xdr:cNvSpPr>
          <a:spLocks noChangeShapeType="1"/>
        </xdr:cNvSpPr>
      </xdr:nvSpPr>
      <xdr:spPr bwMode="auto">
        <a:xfrm flipH="1">
          <a:off x="7743825" y="33750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2790825</xdr:colOff>
      <xdr:row>6</xdr:row>
      <xdr:rowOff>76200</xdr:rowOff>
    </xdr:from>
    <xdr:to>
      <xdr:col>0</xdr:col>
      <xdr:colOff>4343400</xdr:colOff>
      <xdr:row>8</xdr:row>
      <xdr:rowOff>171450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9523AE16-DECF-46DD-9E0D-C7040A4E75D3}"/>
            </a:ext>
          </a:extLst>
        </xdr:cNvPr>
        <xdr:cNvSpPr txBox="1">
          <a:spLocks noChangeArrowheads="1"/>
        </xdr:cNvSpPr>
      </xdr:nvSpPr>
      <xdr:spPr bwMode="auto">
        <a:xfrm>
          <a:off x="2790825" y="1219200"/>
          <a:ext cx="1552575" cy="488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 of budgetary fund balance carried over from the end of the prior year. </a:t>
          </a:r>
        </a:p>
      </xdr:txBody>
    </xdr:sp>
    <xdr:clientData/>
  </xdr:twoCellAnchor>
  <xdr:twoCellAnchor>
    <xdr:from>
      <xdr:col>0</xdr:col>
      <xdr:colOff>4333874</xdr:colOff>
      <xdr:row>7</xdr:row>
      <xdr:rowOff>180976</xdr:rowOff>
    </xdr:from>
    <xdr:to>
      <xdr:col>2</xdr:col>
      <xdr:colOff>0</xdr:colOff>
      <xdr:row>9</xdr:row>
      <xdr:rowOff>104776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07E0CC5F-DE87-4C4F-B0D3-B74B1DBE9249}"/>
            </a:ext>
          </a:extLst>
        </xdr:cNvPr>
        <xdr:cNvSpPr>
          <a:spLocks noChangeShapeType="1"/>
        </xdr:cNvSpPr>
      </xdr:nvSpPr>
      <xdr:spPr bwMode="auto">
        <a:xfrm>
          <a:off x="4333874" y="1520826"/>
          <a:ext cx="847726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3609975</xdr:colOff>
      <xdr:row>34</xdr:row>
      <xdr:rowOff>95248</xdr:rowOff>
    </xdr:from>
    <xdr:to>
      <xdr:col>4</xdr:col>
      <xdr:colOff>219076</xdr:colOff>
      <xdr:row>39</xdr:row>
      <xdr:rowOff>0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DC6BE630-E2A4-45D4-9C6A-3A79279E545B}"/>
            </a:ext>
          </a:extLst>
        </xdr:cNvPr>
        <xdr:cNvSpPr>
          <a:spLocks noChangeShapeType="1"/>
        </xdr:cNvSpPr>
      </xdr:nvSpPr>
      <xdr:spPr bwMode="auto">
        <a:xfrm flipV="1">
          <a:off x="3609975" y="6769098"/>
          <a:ext cx="3009901" cy="8953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5D49-E395-46F2-813B-E72415568777}">
  <sheetPr>
    <pageSetUpPr fitToPage="1"/>
  </sheetPr>
  <dimension ref="A2:J41"/>
  <sheetViews>
    <sheetView tabSelected="1" zoomScale="106" zoomScaleNormal="106" workbookViewId="0">
      <selection activeCell="K19" sqref="K19"/>
    </sheetView>
  </sheetViews>
  <sheetFormatPr defaultRowHeight="14.5" x14ac:dyDescent="0.35"/>
  <cols>
    <col min="1" max="1" width="72.453125" customWidth="1"/>
    <col min="2" max="2" width="1.7265625" customWidth="1"/>
    <col min="3" max="3" width="15.7265625" customWidth="1"/>
    <col min="4" max="4" width="1.7265625" customWidth="1"/>
    <col min="5" max="5" width="15.7265625" customWidth="1"/>
    <col min="6" max="6" width="1.7265625" customWidth="1"/>
    <col min="7" max="7" width="14.453125" bestFit="1" customWidth="1"/>
  </cols>
  <sheetData>
    <row r="2" spans="1:10" ht="15.5" x14ac:dyDescent="0.35">
      <c r="A2" s="3" t="s">
        <v>35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5" x14ac:dyDescent="0.35">
      <c r="A3" s="3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5" x14ac:dyDescent="0.35">
      <c r="A4" s="3" t="s">
        <v>15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35">
      <c r="A5" s="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5" x14ac:dyDescent="0.35">
      <c r="A7" s="4"/>
      <c r="B7" s="12"/>
      <c r="C7" s="12"/>
      <c r="D7" s="12"/>
      <c r="E7" s="12"/>
      <c r="F7" s="12"/>
      <c r="G7" s="26">
        <v>0.42</v>
      </c>
      <c r="H7" s="12"/>
      <c r="I7" s="12"/>
      <c r="J7" s="12"/>
    </row>
    <row r="8" spans="1:10" ht="15.5" x14ac:dyDescent="0.35">
      <c r="A8" s="5"/>
      <c r="B8" s="5"/>
      <c r="C8" s="6" t="s">
        <v>0</v>
      </c>
      <c r="D8" s="12"/>
      <c r="E8" s="6" t="s">
        <v>1</v>
      </c>
      <c r="F8" s="12"/>
      <c r="G8" s="6" t="s">
        <v>16</v>
      </c>
      <c r="H8" s="12"/>
      <c r="I8" s="12"/>
      <c r="J8" s="12"/>
    </row>
    <row r="9" spans="1:10" ht="15.5" x14ac:dyDescent="0.35">
      <c r="A9" s="12"/>
      <c r="B9" s="12"/>
      <c r="C9" s="12"/>
      <c r="D9" s="12"/>
      <c r="E9" s="12"/>
      <c r="F9" s="12"/>
      <c r="G9" s="6"/>
      <c r="H9" s="12"/>
      <c r="I9" s="12"/>
      <c r="J9" s="12"/>
    </row>
    <row r="10" spans="1:10" ht="15.5" x14ac:dyDescent="0.35">
      <c r="A10" s="4" t="s">
        <v>2</v>
      </c>
      <c r="B10" s="4"/>
      <c r="C10" s="25">
        <v>27700</v>
      </c>
      <c r="D10" s="15"/>
      <c r="E10" s="25">
        <v>22827.71</v>
      </c>
      <c r="F10" s="12"/>
      <c r="G10" s="12"/>
      <c r="H10" s="12"/>
      <c r="I10" s="12"/>
      <c r="J10" s="12"/>
    </row>
    <row r="11" spans="1:10" ht="15.5" x14ac:dyDescent="0.35">
      <c r="A11" s="4"/>
      <c r="B11" s="4"/>
      <c r="C11" s="15"/>
      <c r="D11" s="15"/>
      <c r="E11" s="15"/>
      <c r="F11" s="12"/>
      <c r="G11" s="12"/>
      <c r="H11" s="12"/>
      <c r="I11" s="12"/>
      <c r="J11" s="12"/>
    </row>
    <row r="12" spans="1:10" ht="15.5" x14ac:dyDescent="0.35">
      <c r="A12" s="7"/>
      <c r="B12" s="7"/>
      <c r="C12" s="16"/>
      <c r="D12" s="16"/>
      <c r="E12" s="17"/>
      <c r="F12" s="12"/>
      <c r="G12" s="12"/>
      <c r="H12" s="12"/>
      <c r="I12" s="12"/>
      <c r="J12" s="12"/>
    </row>
    <row r="13" spans="1:10" ht="15.5" x14ac:dyDescent="0.35">
      <c r="A13" s="7" t="s">
        <v>3</v>
      </c>
      <c r="B13" s="7"/>
      <c r="C13" s="16">
        <f>'Gen Fund Raw Data'!B3</f>
        <v>456183.33</v>
      </c>
      <c r="D13" s="16"/>
      <c r="E13" s="17">
        <f>'Gen Fund Raw Data'!C3</f>
        <v>456046.70999999996</v>
      </c>
      <c r="F13" s="12"/>
      <c r="G13" s="13">
        <f>E13/C13</f>
        <v>0.99970051514157687</v>
      </c>
      <c r="H13" s="12"/>
      <c r="I13" s="12"/>
      <c r="J13" s="12"/>
    </row>
    <row r="14" spans="1:10" ht="15.5" x14ac:dyDescent="0.35">
      <c r="A14" s="7"/>
      <c r="B14" s="7"/>
      <c r="C14" s="16"/>
      <c r="D14" s="16"/>
      <c r="E14" s="17"/>
      <c r="F14" s="12"/>
      <c r="G14" s="12"/>
      <c r="H14" s="12"/>
      <c r="I14" s="12"/>
      <c r="J14" s="12"/>
    </row>
    <row r="15" spans="1:10" ht="15.5" x14ac:dyDescent="0.35">
      <c r="A15" s="7" t="s">
        <v>14</v>
      </c>
      <c r="B15" s="7"/>
      <c r="C15" s="18">
        <f>-'Gen Fund Raw Data'!B4</f>
        <v>-637777</v>
      </c>
      <c r="D15" s="16"/>
      <c r="E15" s="19">
        <f>-'Gen Fund Raw Data'!C4</f>
        <v>-446620.23</v>
      </c>
      <c r="F15" s="12"/>
      <c r="G15" s="13">
        <f>E15/C15</f>
        <v>0.70027647594692188</v>
      </c>
      <c r="H15" s="12"/>
      <c r="I15" s="12"/>
      <c r="J15" s="12"/>
    </row>
    <row r="16" spans="1:10" ht="15.5" x14ac:dyDescent="0.35">
      <c r="A16" s="7"/>
      <c r="B16" s="7"/>
      <c r="C16" s="16"/>
      <c r="D16" s="16"/>
      <c r="E16" s="17"/>
      <c r="F16" s="12"/>
      <c r="G16" s="13"/>
      <c r="H16" s="12"/>
      <c r="I16" s="12"/>
      <c r="J16" s="12"/>
    </row>
    <row r="17" spans="1:10" ht="15.5" x14ac:dyDescent="0.35">
      <c r="A17" s="7"/>
      <c r="B17" s="7"/>
      <c r="C17" s="16"/>
      <c r="D17" s="16"/>
      <c r="E17" s="17"/>
      <c r="F17" s="12"/>
      <c r="G17" s="12"/>
      <c r="H17" s="12"/>
      <c r="I17" s="12"/>
      <c r="J17" s="12"/>
    </row>
    <row r="18" spans="1:10" ht="15.5" x14ac:dyDescent="0.35">
      <c r="A18" s="4" t="s">
        <v>4</v>
      </c>
      <c r="B18" s="4"/>
      <c r="C18" s="14">
        <f>SUM(C10:C17)</f>
        <v>-153893.66999999998</v>
      </c>
      <c r="D18" s="15"/>
      <c r="E18" s="14">
        <f>SUM(E10:E17)</f>
        <v>32254.190000000002</v>
      </c>
      <c r="F18" s="12"/>
      <c r="G18" s="12"/>
      <c r="H18" s="12"/>
      <c r="I18" s="12"/>
      <c r="J18" s="12"/>
    </row>
    <row r="19" spans="1:10" ht="15.5" x14ac:dyDescent="0.35">
      <c r="A19" s="4"/>
      <c r="B19" s="4"/>
      <c r="C19" s="15"/>
      <c r="D19" s="15"/>
      <c r="E19" s="15"/>
      <c r="F19" s="12"/>
      <c r="G19" s="12"/>
      <c r="H19" s="12"/>
      <c r="I19" s="12"/>
      <c r="J19" s="12"/>
    </row>
    <row r="20" spans="1:10" ht="15.5" x14ac:dyDescent="0.35">
      <c r="A20" s="7" t="s">
        <v>5</v>
      </c>
      <c r="B20" s="4"/>
      <c r="C20" s="16">
        <f>'Gen Fund Raw Data'!B6</f>
        <v>183333</v>
      </c>
      <c r="D20" s="15"/>
      <c r="E20" s="16">
        <f>'Gen Fund Raw Data'!C6</f>
        <v>0</v>
      </c>
      <c r="F20" s="12"/>
      <c r="G20" s="13"/>
      <c r="H20" s="12"/>
      <c r="I20" s="12"/>
      <c r="J20" s="12"/>
    </row>
    <row r="21" spans="1:10" ht="15.5" x14ac:dyDescent="0.35">
      <c r="A21" s="7" t="s">
        <v>6</v>
      </c>
      <c r="B21" s="4"/>
      <c r="C21" s="18">
        <f>-'Gen Fund Raw Data'!B7</f>
        <v>0</v>
      </c>
      <c r="D21" s="15"/>
      <c r="E21" s="18">
        <f>-'Gen Fund Raw Data'!C7</f>
        <v>0</v>
      </c>
      <c r="F21" s="12"/>
      <c r="G21" s="13"/>
      <c r="H21" s="12"/>
      <c r="I21" s="12"/>
      <c r="J21" s="12"/>
    </row>
    <row r="22" spans="1:10" ht="15.5" x14ac:dyDescent="0.35">
      <c r="A22" s="4" t="s">
        <v>7</v>
      </c>
      <c r="B22" s="7"/>
      <c r="C22" s="20">
        <f>SUM(C20:C21)</f>
        <v>183333</v>
      </c>
      <c r="D22" s="16"/>
      <c r="E22" s="20">
        <f>SUM(E20:E21)</f>
        <v>0</v>
      </c>
      <c r="F22" s="12"/>
      <c r="G22" s="12"/>
      <c r="H22" s="12"/>
      <c r="I22" s="12"/>
      <c r="J22" s="12"/>
    </row>
    <row r="23" spans="1:10" ht="15.5" x14ac:dyDescent="0.35">
      <c r="A23" s="4"/>
      <c r="B23" s="7"/>
      <c r="C23" s="15"/>
      <c r="D23" s="16"/>
      <c r="E23" s="15"/>
      <c r="F23" s="12"/>
      <c r="G23" s="12"/>
      <c r="H23" s="12"/>
      <c r="I23" s="12"/>
      <c r="J23" s="12"/>
    </row>
    <row r="24" spans="1:10" ht="15.5" x14ac:dyDescent="0.35">
      <c r="A24" s="4"/>
      <c r="B24" s="7"/>
      <c r="C24" s="15"/>
      <c r="D24" s="16"/>
      <c r="E24" s="15"/>
      <c r="F24" s="12"/>
      <c r="G24" s="12"/>
      <c r="H24" s="12"/>
      <c r="I24" s="12"/>
      <c r="J24" s="12"/>
    </row>
    <row r="25" spans="1:10" ht="15.5" x14ac:dyDescent="0.35">
      <c r="A25" s="4" t="s">
        <v>8</v>
      </c>
      <c r="B25" s="7"/>
      <c r="C25" s="14">
        <f>SUM(C18+C22)-190000</f>
        <v>-160560.66999999998</v>
      </c>
      <c r="D25" s="16"/>
      <c r="E25" s="14">
        <f>SUM(E18+E22)-100000</f>
        <v>-67745.81</v>
      </c>
      <c r="F25" s="12"/>
      <c r="G25" s="12"/>
      <c r="H25" s="12"/>
      <c r="I25" s="12"/>
      <c r="J25" s="12"/>
    </row>
    <row r="26" spans="1:10" ht="15.5" x14ac:dyDescent="0.35">
      <c r="A26" s="7"/>
      <c r="B26" s="7"/>
      <c r="C26" s="16"/>
      <c r="D26" s="16"/>
      <c r="E26" s="17"/>
      <c r="F26" s="12"/>
      <c r="G26" s="12"/>
      <c r="H26" s="12"/>
      <c r="I26" s="12"/>
      <c r="J26" s="12"/>
    </row>
    <row r="27" spans="1:10" ht="15.5" x14ac:dyDescent="0.35">
      <c r="A27" s="4" t="s">
        <v>13</v>
      </c>
      <c r="B27" s="4"/>
      <c r="C27" s="15">
        <f>SUM(C18)</f>
        <v>-153893.66999999998</v>
      </c>
      <c r="D27" s="15"/>
      <c r="E27" s="15">
        <f>SUM(E18)</f>
        <v>32254.190000000002</v>
      </c>
      <c r="F27" s="12"/>
      <c r="G27" s="12"/>
      <c r="H27" s="12"/>
      <c r="I27" s="12"/>
      <c r="J27" s="12"/>
    </row>
    <row r="28" spans="1:10" ht="15.5" x14ac:dyDescent="0.35">
      <c r="A28" s="7"/>
      <c r="B28" s="7"/>
      <c r="C28" s="16"/>
      <c r="D28" s="16"/>
      <c r="E28" s="17"/>
      <c r="F28" s="12"/>
      <c r="G28" s="12"/>
      <c r="H28" s="12"/>
      <c r="I28" s="12"/>
      <c r="J28" s="12"/>
    </row>
    <row r="29" spans="1:10" ht="15.5" x14ac:dyDescent="0.35">
      <c r="A29" s="7" t="s">
        <v>12</v>
      </c>
      <c r="B29" s="7"/>
      <c r="C29" s="27">
        <v>26037</v>
      </c>
      <c r="D29" s="16"/>
      <c r="E29" s="28">
        <v>26037</v>
      </c>
      <c r="F29" s="12"/>
      <c r="G29" s="12"/>
      <c r="H29" s="12"/>
      <c r="I29" s="12"/>
      <c r="J29" s="12"/>
    </row>
    <row r="30" spans="1:10" ht="15.5" x14ac:dyDescent="0.35">
      <c r="A30" s="7"/>
      <c r="B30" s="7"/>
      <c r="C30" s="16"/>
      <c r="D30" s="16"/>
      <c r="E30" s="17"/>
      <c r="F30" s="12"/>
      <c r="G30" s="12"/>
      <c r="H30" s="12"/>
      <c r="I30" s="12"/>
      <c r="J30" s="12"/>
    </row>
    <row r="31" spans="1:10" ht="15.5" x14ac:dyDescent="0.35">
      <c r="A31" s="7"/>
      <c r="B31" s="7"/>
      <c r="C31" s="16"/>
      <c r="D31" s="16"/>
      <c r="E31" s="17"/>
      <c r="F31" s="12"/>
      <c r="G31" s="12"/>
      <c r="H31" s="12"/>
      <c r="I31" s="12"/>
      <c r="J31" s="12"/>
    </row>
    <row r="32" spans="1:10" ht="16" thickBot="1" x14ac:dyDescent="0.4">
      <c r="A32" s="4" t="s">
        <v>9</v>
      </c>
      <c r="B32" s="4"/>
      <c r="C32" s="21">
        <f>SUM(C27+C29)</f>
        <v>-127856.66999999998</v>
      </c>
      <c r="D32" s="15"/>
      <c r="E32" s="21">
        <f>SUM(E27-E29)</f>
        <v>6217.1900000000023</v>
      </c>
      <c r="F32" s="12"/>
      <c r="G32" s="12"/>
      <c r="H32" s="12"/>
      <c r="I32" s="12"/>
      <c r="J32" s="12"/>
    </row>
    <row r="33" spans="1:10" ht="16" thickTop="1" x14ac:dyDescent="0.35">
      <c r="A33" s="7"/>
      <c r="B33" s="7"/>
      <c r="C33" s="7"/>
      <c r="D33" s="7"/>
      <c r="E33" s="9"/>
      <c r="F33" s="12"/>
      <c r="G33" s="12"/>
      <c r="H33" s="12"/>
      <c r="I33" s="12"/>
      <c r="J33" s="12"/>
    </row>
    <row r="34" spans="1:10" ht="16" thickBot="1" x14ac:dyDescent="0.4">
      <c r="A34" s="4" t="s">
        <v>10</v>
      </c>
      <c r="B34" s="7"/>
      <c r="C34" s="8">
        <f>C32/(C13+C20)</f>
        <v>-0.19992713868620052</v>
      </c>
      <c r="D34" s="7"/>
      <c r="E34" s="8">
        <f>E32/(C13+C20)</f>
        <v>9.7217064027121901E-3</v>
      </c>
      <c r="F34" s="12"/>
      <c r="G34" s="12"/>
      <c r="H34" s="12"/>
      <c r="I34" s="12"/>
      <c r="J34" s="12"/>
    </row>
    <row r="35" spans="1:10" ht="16" thickTop="1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5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5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5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5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5" x14ac:dyDescent="0.35">
      <c r="A40" s="12"/>
      <c r="B40" s="12"/>
      <c r="C40" s="12"/>
      <c r="D40" s="12"/>
      <c r="E40" s="2"/>
      <c r="F40" s="12"/>
      <c r="G40" s="12"/>
      <c r="H40" s="12"/>
      <c r="I40" s="12"/>
      <c r="J40" s="12"/>
    </row>
    <row r="41" spans="1:10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pageMargins left="0.7" right="0.7" top="0.75" bottom="0.75" header="0.3" footer="0.3"/>
  <pageSetup scale="57" orientation="portrait" r:id="rId1"/>
  <headerFooter>
    <oddFooter xml:space="preserve">&amp;CThis form was provided by Oklahoma Municipal Management Services and Crawford and Associates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77B0-8E45-4DED-9920-457DD36FE2E0}">
  <dimension ref="A1:O7"/>
  <sheetViews>
    <sheetView workbookViewId="0">
      <selection sqref="A1:XFD1048576"/>
    </sheetView>
  </sheetViews>
  <sheetFormatPr defaultRowHeight="14.5" x14ac:dyDescent="0.35"/>
  <cols>
    <col min="1" max="1" width="20.6328125" bestFit="1" customWidth="1"/>
    <col min="2" max="2" width="11.54296875" style="24" customWidth="1"/>
    <col min="3" max="3" width="11.81640625" style="24" bestFit="1" customWidth="1"/>
    <col min="4" max="15" width="12.90625" customWidth="1"/>
    <col min="16" max="16" width="17.08984375" customWidth="1"/>
  </cols>
  <sheetData>
    <row r="1" spans="1:15" x14ac:dyDescent="0.35">
      <c r="B1" s="24" t="s">
        <v>33</v>
      </c>
      <c r="C1" s="24" t="s">
        <v>34</v>
      </c>
      <c r="D1" s="22" t="s">
        <v>17</v>
      </c>
      <c r="E1" s="22" t="s">
        <v>18</v>
      </c>
      <c r="F1" s="22" t="s">
        <v>19</v>
      </c>
      <c r="G1" s="22" t="s">
        <v>20</v>
      </c>
      <c r="H1" s="22" t="s">
        <v>21</v>
      </c>
      <c r="I1" s="22" t="s">
        <v>22</v>
      </c>
      <c r="J1" s="22" t="s">
        <v>23</v>
      </c>
      <c r="K1" s="22" t="s">
        <v>24</v>
      </c>
      <c r="L1" s="22" t="s">
        <v>25</v>
      </c>
      <c r="M1" s="22" t="s">
        <v>26</v>
      </c>
      <c r="N1" s="22" t="s">
        <v>27</v>
      </c>
      <c r="O1" s="22" t="s">
        <v>28</v>
      </c>
    </row>
    <row r="2" spans="1:15" x14ac:dyDescent="0.35">
      <c r="D2" s="23">
        <f>1/12</f>
        <v>8.3333333333333329E-2</v>
      </c>
      <c r="E2" s="23">
        <f>2/12</f>
        <v>0.16666666666666666</v>
      </c>
      <c r="F2" s="23">
        <f>3/12</f>
        <v>0.25</v>
      </c>
      <c r="G2" s="23">
        <f>4/12</f>
        <v>0.33333333333333331</v>
      </c>
      <c r="H2" s="23">
        <f>5/12</f>
        <v>0.41666666666666669</v>
      </c>
      <c r="I2" s="23">
        <f>6/12</f>
        <v>0.5</v>
      </c>
      <c r="J2" s="23">
        <f>7/12</f>
        <v>0.58333333333333337</v>
      </c>
      <c r="K2" s="23">
        <f>8/12</f>
        <v>0.66666666666666663</v>
      </c>
      <c r="L2" s="23">
        <f>9/12</f>
        <v>0.75</v>
      </c>
      <c r="M2" s="23">
        <f>10/12</f>
        <v>0.83333333333333337</v>
      </c>
      <c r="N2" s="23">
        <f>11/12</f>
        <v>0.91666666666666663</v>
      </c>
      <c r="O2" s="23">
        <f>12/12</f>
        <v>1</v>
      </c>
    </row>
    <row r="3" spans="1:15" x14ac:dyDescent="0.35">
      <c r="A3" t="s">
        <v>29</v>
      </c>
      <c r="B3" s="24">
        <v>456183.33</v>
      </c>
      <c r="C3" s="24">
        <f t="shared" ref="C3:C7" si="0">SUM(D3:O3)</f>
        <v>456046.70999999996</v>
      </c>
      <c r="D3" s="24">
        <v>117231.02</v>
      </c>
      <c r="E3" s="24">
        <v>131787.1</v>
      </c>
      <c r="F3" s="24">
        <v>206528.59</v>
      </c>
      <c r="G3" s="24">
        <v>500</v>
      </c>
      <c r="H3" s="24"/>
      <c r="I3" s="24"/>
      <c r="J3" s="24"/>
      <c r="K3" s="24"/>
      <c r="L3" s="24"/>
      <c r="M3" s="24"/>
      <c r="N3" s="24"/>
      <c r="O3" s="24"/>
    </row>
    <row r="4" spans="1:15" x14ac:dyDescent="0.35">
      <c r="A4" t="s">
        <v>30</v>
      </c>
      <c r="B4" s="24">
        <v>637777</v>
      </c>
      <c r="C4" s="24">
        <f t="shared" si="0"/>
        <v>446620.23</v>
      </c>
      <c r="D4" s="24">
        <v>145404.07999999999</v>
      </c>
      <c r="E4" s="24">
        <v>131658.85999999999</v>
      </c>
      <c r="F4" s="24">
        <v>169557.29</v>
      </c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35"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35">
      <c r="A6" t="s">
        <v>31</v>
      </c>
      <c r="B6" s="24">
        <v>183333</v>
      </c>
      <c r="C6" s="24">
        <f t="shared" si="0"/>
        <v>0</v>
      </c>
      <c r="D6" s="24">
        <v>0</v>
      </c>
      <c r="E6" s="24">
        <v>0</v>
      </c>
      <c r="F6" s="24">
        <v>0</v>
      </c>
      <c r="G6" s="24">
        <v>0</v>
      </c>
      <c r="H6" s="24"/>
      <c r="I6" s="24"/>
      <c r="J6" s="24"/>
      <c r="K6" s="24"/>
      <c r="L6" s="24"/>
      <c r="M6" s="24"/>
      <c r="N6" s="24"/>
      <c r="O6" s="24"/>
    </row>
    <row r="7" spans="1:15" x14ac:dyDescent="0.35">
      <c r="A7" t="s">
        <v>32</v>
      </c>
      <c r="B7" s="24">
        <v>0</v>
      </c>
      <c r="C7" s="24">
        <f t="shared" si="0"/>
        <v>0</v>
      </c>
      <c r="D7" s="24">
        <v>0</v>
      </c>
      <c r="E7" s="24">
        <v>0</v>
      </c>
      <c r="F7" s="24">
        <v>0</v>
      </c>
      <c r="G7" s="24">
        <v>0</v>
      </c>
      <c r="H7" s="24"/>
      <c r="I7" s="24"/>
      <c r="J7" s="24"/>
      <c r="K7" s="24"/>
      <c r="L7" s="24"/>
      <c r="M7" s="24"/>
      <c r="N7" s="24"/>
      <c r="O7" s="24"/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FEB9-83EC-45F3-A420-699DFF9CFFD6}">
  <sheetPr>
    <pageSetUpPr fitToPage="1"/>
  </sheetPr>
  <dimension ref="A2:J41"/>
  <sheetViews>
    <sheetView zoomScaleNormal="100" workbookViewId="0">
      <selection activeCell="M26" sqref="M26"/>
    </sheetView>
  </sheetViews>
  <sheetFormatPr defaultRowHeight="14.5" x14ac:dyDescent="0.35"/>
  <cols>
    <col min="1" max="1" width="72.453125" customWidth="1"/>
    <col min="2" max="2" width="1.7265625" customWidth="1"/>
    <col min="3" max="3" width="15.7265625" customWidth="1"/>
    <col min="4" max="4" width="1.7265625" customWidth="1"/>
    <col min="5" max="5" width="15.7265625" customWidth="1"/>
    <col min="6" max="6" width="1.7265625" customWidth="1"/>
    <col min="7" max="7" width="14.453125" bestFit="1" customWidth="1"/>
  </cols>
  <sheetData>
    <row r="2" spans="1:10" ht="15.5" x14ac:dyDescent="0.35">
      <c r="A2" s="3" t="s">
        <v>36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5" x14ac:dyDescent="0.35">
      <c r="A3" s="3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5" x14ac:dyDescent="0.35">
      <c r="A4" s="3" t="s">
        <v>15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35">
      <c r="A5" s="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5" x14ac:dyDescent="0.35">
      <c r="A7" s="4"/>
      <c r="B7" s="12"/>
      <c r="C7" s="12"/>
      <c r="D7" s="12"/>
      <c r="E7" s="12"/>
      <c r="F7" s="12"/>
      <c r="G7" s="26">
        <v>0.42</v>
      </c>
      <c r="H7" s="12"/>
      <c r="I7" s="12"/>
      <c r="J7" s="12"/>
    </row>
    <row r="8" spans="1:10" ht="15.5" x14ac:dyDescent="0.35">
      <c r="A8" s="5"/>
      <c r="B8" s="5"/>
      <c r="C8" s="6" t="s">
        <v>0</v>
      </c>
      <c r="D8" s="12"/>
      <c r="E8" s="6" t="s">
        <v>1</v>
      </c>
      <c r="F8" s="12"/>
      <c r="G8" s="6" t="s">
        <v>16</v>
      </c>
      <c r="H8" s="12"/>
      <c r="I8" s="12"/>
      <c r="J8" s="12"/>
    </row>
    <row r="9" spans="1:10" ht="15.5" x14ac:dyDescent="0.35">
      <c r="A9" s="12"/>
      <c r="B9" s="12"/>
      <c r="C9" s="12"/>
      <c r="D9" s="12"/>
      <c r="E9" s="12"/>
      <c r="F9" s="12"/>
      <c r="G9" s="6"/>
      <c r="H9" s="12"/>
      <c r="I9" s="12"/>
      <c r="J9" s="12"/>
    </row>
    <row r="10" spans="1:10" ht="15.5" x14ac:dyDescent="0.35">
      <c r="A10" s="4" t="s">
        <v>2</v>
      </c>
      <c r="B10" s="4"/>
      <c r="C10" s="25">
        <v>27700</v>
      </c>
      <c r="D10" s="15"/>
      <c r="E10" s="25">
        <v>22827.71</v>
      </c>
      <c r="F10" s="12"/>
      <c r="G10" s="12"/>
      <c r="H10" s="12"/>
      <c r="I10" s="12"/>
      <c r="J10" s="12"/>
    </row>
    <row r="11" spans="1:10" ht="15.5" x14ac:dyDescent="0.35">
      <c r="A11" s="4"/>
      <c r="B11" s="4"/>
      <c r="C11" s="15"/>
      <c r="D11" s="15"/>
      <c r="E11" s="15"/>
      <c r="F11" s="12"/>
      <c r="G11" s="12"/>
      <c r="H11" s="12"/>
      <c r="I11" s="12"/>
      <c r="J11" s="12"/>
    </row>
    <row r="12" spans="1:10" ht="15.5" x14ac:dyDescent="0.35">
      <c r="A12" s="7"/>
      <c r="B12" s="7"/>
      <c r="C12" s="16"/>
      <c r="D12" s="16"/>
      <c r="E12" s="17"/>
      <c r="F12" s="12"/>
      <c r="G12" s="12"/>
      <c r="H12" s="12"/>
      <c r="I12" s="12"/>
      <c r="J12" s="12"/>
    </row>
    <row r="13" spans="1:10" ht="15.5" x14ac:dyDescent="0.35">
      <c r="A13" s="7" t="s">
        <v>3</v>
      </c>
      <c r="B13" s="7"/>
      <c r="C13" s="16">
        <f>'PWA Raw Data'!B3</f>
        <v>1285931</v>
      </c>
      <c r="D13" s="16"/>
      <c r="E13" s="17">
        <f>'PWA Raw Data'!C3</f>
        <v>790382</v>
      </c>
      <c r="F13" s="12"/>
      <c r="G13" s="13">
        <f>E13/C13</f>
        <v>0.61463795491359952</v>
      </c>
      <c r="H13" s="12"/>
      <c r="I13" s="12"/>
      <c r="J13" s="12"/>
    </row>
    <row r="14" spans="1:10" ht="15.5" x14ac:dyDescent="0.35">
      <c r="A14" s="7"/>
      <c r="B14" s="7"/>
      <c r="C14" s="16"/>
      <c r="D14" s="16"/>
      <c r="E14" s="17"/>
      <c r="F14" s="12"/>
      <c r="G14" s="12"/>
      <c r="H14" s="12"/>
      <c r="I14" s="12"/>
      <c r="J14" s="12"/>
    </row>
    <row r="15" spans="1:10" ht="15.5" x14ac:dyDescent="0.35">
      <c r="A15" s="7" t="s">
        <v>14</v>
      </c>
      <c r="B15" s="7"/>
      <c r="C15" s="18">
        <f>-'PWA Raw Data'!B4</f>
        <v>-637777</v>
      </c>
      <c r="D15" s="16"/>
      <c r="E15" s="19">
        <f>-'PWA Raw Data'!C4</f>
        <v>-543903.23</v>
      </c>
      <c r="F15" s="12"/>
      <c r="G15" s="13">
        <f>E15/C15</f>
        <v>0.85281098252210408</v>
      </c>
      <c r="H15" s="12"/>
      <c r="I15" s="12"/>
      <c r="J15" s="12"/>
    </row>
    <row r="16" spans="1:10" ht="15.5" x14ac:dyDescent="0.35">
      <c r="A16" s="7"/>
      <c r="B16" s="7"/>
      <c r="C16" s="16"/>
      <c r="D16" s="16"/>
      <c r="E16" s="17"/>
      <c r="F16" s="12"/>
      <c r="G16" s="13"/>
      <c r="H16" s="12"/>
      <c r="I16" s="12"/>
      <c r="J16" s="12"/>
    </row>
    <row r="17" spans="1:10" ht="15.5" x14ac:dyDescent="0.35">
      <c r="A17" s="7"/>
      <c r="B17" s="7"/>
      <c r="C17" s="16"/>
      <c r="D17" s="16"/>
      <c r="E17" s="17"/>
      <c r="F17" s="12"/>
      <c r="G17" s="12"/>
      <c r="H17" s="12"/>
      <c r="I17" s="12"/>
      <c r="J17" s="12"/>
    </row>
    <row r="18" spans="1:10" ht="15.5" x14ac:dyDescent="0.35">
      <c r="A18" s="4" t="s">
        <v>4</v>
      </c>
      <c r="B18" s="4"/>
      <c r="C18" s="14">
        <f>SUM(C10:C17)</f>
        <v>675854</v>
      </c>
      <c r="D18" s="15"/>
      <c r="E18" s="14">
        <f>SUM(E10:E17)</f>
        <v>269306.48</v>
      </c>
      <c r="F18" s="12"/>
      <c r="G18" s="12"/>
      <c r="H18" s="12"/>
      <c r="I18" s="12"/>
      <c r="J18" s="12"/>
    </row>
    <row r="19" spans="1:10" ht="15.5" x14ac:dyDescent="0.35">
      <c r="A19" s="4"/>
      <c r="B19" s="4"/>
      <c r="C19" s="15"/>
      <c r="D19" s="15"/>
      <c r="E19" s="15"/>
      <c r="F19" s="12"/>
      <c r="G19" s="12"/>
      <c r="H19" s="12"/>
      <c r="I19" s="12"/>
      <c r="J19" s="12"/>
    </row>
    <row r="20" spans="1:10" ht="15.5" x14ac:dyDescent="0.35">
      <c r="A20" s="7" t="s">
        <v>5</v>
      </c>
      <c r="B20" s="4"/>
      <c r="C20" s="16">
        <f>'PWA Raw Data'!B6</f>
        <v>183333</v>
      </c>
      <c r="D20" s="15"/>
      <c r="E20" s="16">
        <f>'PWA Raw Data'!C6</f>
        <v>0</v>
      </c>
      <c r="F20" s="12"/>
      <c r="G20" s="13"/>
      <c r="H20" s="12"/>
      <c r="I20" s="12"/>
      <c r="J20" s="12"/>
    </row>
    <row r="21" spans="1:10" ht="15.5" x14ac:dyDescent="0.35">
      <c r="A21" s="7" t="s">
        <v>6</v>
      </c>
      <c r="B21" s="4"/>
      <c r="C21" s="18">
        <f>-'PWA Raw Data'!B7</f>
        <v>0</v>
      </c>
      <c r="D21" s="15"/>
      <c r="E21" s="18">
        <f>-'PWA Raw Data'!C7</f>
        <v>0</v>
      </c>
      <c r="F21" s="12"/>
      <c r="G21" s="13"/>
      <c r="H21" s="12"/>
      <c r="I21" s="12"/>
      <c r="J21" s="12"/>
    </row>
    <row r="22" spans="1:10" ht="15.5" x14ac:dyDescent="0.35">
      <c r="A22" s="4" t="s">
        <v>7</v>
      </c>
      <c r="B22" s="7"/>
      <c r="C22" s="20">
        <f>SUM(C20:C21)</f>
        <v>183333</v>
      </c>
      <c r="D22" s="16"/>
      <c r="E22" s="20">
        <f>SUM(E20:E21)</f>
        <v>0</v>
      </c>
      <c r="F22" s="12"/>
      <c r="G22" s="12"/>
      <c r="H22" s="12"/>
      <c r="I22" s="12"/>
      <c r="J22" s="12"/>
    </row>
    <row r="23" spans="1:10" ht="15.5" x14ac:dyDescent="0.35">
      <c r="A23" s="4"/>
      <c r="B23" s="7"/>
      <c r="C23" s="15"/>
      <c r="D23" s="16"/>
      <c r="E23" s="15"/>
      <c r="F23" s="12"/>
      <c r="G23" s="12"/>
      <c r="H23" s="12"/>
      <c r="I23" s="12"/>
      <c r="J23" s="12"/>
    </row>
    <row r="24" spans="1:10" ht="15.5" x14ac:dyDescent="0.35">
      <c r="A24" s="4"/>
      <c r="B24" s="7"/>
      <c r="C24" s="15"/>
      <c r="D24" s="16"/>
      <c r="E24" s="15"/>
      <c r="F24" s="12"/>
      <c r="G24" s="12"/>
      <c r="H24" s="12"/>
      <c r="I24" s="12"/>
      <c r="J24" s="12"/>
    </row>
    <row r="25" spans="1:10" ht="15.5" x14ac:dyDescent="0.35">
      <c r="A25" s="4" t="s">
        <v>8</v>
      </c>
      <c r="B25" s="7"/>
      <c r="C25" s="14">
        <f>SUM(C18+C22)-190000</f>
        <v>669187</v>
      </c>
      <c r="D25" s="16"/>
      <c r="E25" s="14">
        <f>SUM(E18+E22)-100000</f>
        <v>169306.47999999998</v>
      </c>
      <c r="F25" s="12"/>
      <c r="G25" s="12"/>
      <c r="H25" s="12"/>
      <c r="I25" s="12"/>
      <c r="J25" s="12"/>
    </row>
    <row r="26" spans="1:10" ht="15.5" x14ac:dyDescent="0.35">
      <c r="A26" s="7"/>
      <c r="B26" s="7"/>
      <c r="C26" s="16"/>
      <c r="D26" s="16"/>
      <c r="E26" s="17"/>
      <c r="F26" s="12"/>
      <c r="G26" s="12"/>
      <c r="H26" s="12"/>
      <c r="I26" s="12"/>
      <c r="J26" s="12"/>
    </row>
    <row r="27" spans="1:10" ht="15.5" x14ac:dyDescent="0.35">
      <c r="A27" s="4" t="s">
        <v>13</v>
      </c>
      <c r="B27" s="4"/>
      <c r="C27" s="15">
        <f>SUM(C18)</f>
        <v>675854</v>
      </c>
      <c r="D27" s="15"/>
      <c r="E27" s="15">
        <f>SUM(E18)</f>
        <v>269306.48</v>
      </c>
      <c r="F27" s="12"/>
      <c r="G27" s="12"/>
      <c r="H27" s="12"/>
      <c r="I27" s="12"/>
      <c r="J27" s="12"/>
    </row>
    <row r="28" spans="1:10" ht="15.5" x14ac:dyDescent="0.35">
      <c r="A28" s="7"/>
      <c r="B28" s="7"/>
      <c r="C28" s="16"/>
      <c r="D28" s="16"/>
      <c r="E28" s="17"/>
      <c r="F28" s="12"/>
      <c r="G28" s="12"/>
      <c r="H28" s="12"/>
      <c r="I28" s="12"/>
      <c r="J28" s="12"/>
    </row>
    <row r="29" spans="1:10" ht="15.5" x14ac:dyDescent="0.35">
      <c r="A29" s="7" t="s">
        <v>12</v>
      </c>
      <c r="B29" s="7"/>
      <c r="C29" s="27">
        <v>26037</v>
      </c>
      <c r="D29" s="16"/>
      <c r="E29" s="28">
        <v>26037</v>
      </c>
      <c r="F29" s="12"/>
      <c r="G29" s="12"/>
      <c r="H29" s="12"/>
      <c r="I29" s="12"/>
      <c r="J29" s="12"/>
    </row>
    <row r="30" spans="1:10" ht="15.5" x14ac:dyDescent="0.35">
      <c r="A30" s="7"/>
      <c r="B30" s="7"/>
      <c r="C30" s="16"/>
      <c r="D30" s="16"/>
      <c r="E30" s="17"/>
      <c r="F30" s="12"/>
      <c r="G30" s="12"/>
      <c r="H30" s="12"/>
      <c r="I30" s="12"/>
      <c r="J30" s="12"/>
    </row>
    <row r="31" spans="1:10" ht="15.5" x14ac:dyDescent="0.35">
      <c r="A31" s="7"/>
      <c r="B31" s="7"/>
      <c r="C31" s="16"/>
      <c r="D31" s="16"/>
      <c r="E31" s="17"/>
      <c r="F31" s="12"/>
      <c r="G31" s="12"/>
      <c r="H31" s="12"/>
      <c r="I31" s="12"/>
      <c r="J31" s="12"/>
    </row>
    <row r="32" spans="1:10" ht="16" thickBot="1" x14ac:dyDescent="0.4">
      <c r="A32" s="4" t="s">
        <v>9</v>
      </c>
      <c r="B32" s="4"/>
      <c r="C32" s="21">
        <f>SUM(C27+C29)</f>
        <v>701891</v>
      </c>
      <c r="D32" s="15"/>
      <c r="E32" s="21">
        <f>SUM(E27-E29)</f>
        <v>243269.47999999998</v>
      </c>
      <c r="F32" s="12"/>
      <c r="G32" s="12"/>
      <c r="H32" s="12"/>
      <c r="I32" s="12"/>
      <c r="J32" s="12"/>
    </row>
    <row r="33" spans="1:10" ht="16" thickTop="1" x14ac:dyDescent="0.35">
      <c r="A33" s="7"/>
      <c r="B33" s="7"/>
      <c r="C33" s="7"/>
      <c r="D33" s="7"/>
      <c r="E33" s="9"/>
      <c r="F33" s="12"/>
      <c r="G33" s="12"/>
      <c r="H33" s="12"/>
      <c r="I33" s="12"/>
      <c r="J33" s="12"/>
    </row>
    <row r="34" spans="1:10" ht="16" thickBot="1" x14ac:dyDescent="0.4">
      <c r="A34" s="4" t="s">
        <v>10</v>
      </c>
      <c r="B34" s="7"/>
      <c r="C34" s="8">
        <f>C32/(C13+C20)</f>
        <v>0.47771605375208265</v>
      </c>
      <c r="D34" s="7"/>
      <c r="E34" s="8">
        <f>E32/(C13+C20)</f>
        <v>0.16557234098160711</v>
      </c>
      <c r="F34" s="12"/>
      <c r="G34" s="12"/>
      <c r="H34" s="12"/>
      <c r="I34" s="12"/>
      <c r="J34" s="12"/>
    </row>
    <row r="35" spans="1:10" ht="16" thickTop="1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5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5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5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5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5" x14ac:dyDescent="0.35">
      <c r="A40" s="12"/>
      <c r="B40" s="12"/>
      <c r="C40" s="12"/>
      <c r="D40" s="12"/>
      <c r="E40" s="2"/>
      <c r="F40" s="12"/>
      <c r="G40" s="12"/>
      <c r="H40" s="12"/>
      <c r="I40" s="12"/>
      <c r="J40" s="12"/>
    </row>
    <row r="41" spans="1:10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pageMargins left="0.7" right="0.7" top="0.75" bottom="0.75" header="0.3" footer="0.3"/>
  <pageSetup scale="57" orientation="portrait" r:id="rId1"/>
  <headerFooter>
    <oddFooter>&amp;CThis form was provided by Oklahoma Municipal Management Services and Crawford and Associates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1EF12-9A32-47FD-A18A-37A62EFBB81C}">
  <dimension ref="A1:O7"/>
  <sheetViews>
    <sheetView workbookViewId="0">
      <selection activeCell="G4" sqref="G4"/>
    </sheetView>
  </sheetViews>
  <sheetFormatPr defaultRowHeight="14.5" x14ac:dyDescent="0.35"/>
  <cols>
    <col min="1" max="1" width="20.6328125" bestFit="1" customWidth="1"/>
    <col min="2" max="2" width="11.54296875" style="24" customWidth="1"/>
    <col min="3" max="3" width="11.81640625" style="24" bestFit="1" customWidth="1"/>
    <col min="4" max="15" width="12.90625" customWidth="1"/>
    <col min="16" max="16" width="17.08984375" customWidth="1"/>
  </cols>
  <sheetData>
    <row r="1" spans="1:15" x14ac:dyDescent="0.35">
      <c r="B1" s="24" t="s">
        <v>33</v>
      </c>
      <c r="C1" s="24" t="s">
        <v>34</v>
      </c>
      <c r="D1" s="22" t="s">
        <v>17</v>
      </c>
      <c r="E1" s="22" t="s">
        <v>18</v>
      </c>
      <c r="F1" s="22" t="s">
        <v>19</v>
      </c>
      <c r="G1" s="22" t="s">
        <v>20</v>
      </c>
      <c r="H1" s="22" t="s">
        <v>21</v>
      </c>
      <c r="I1" s="22" t="s">
        <v>22</v>
      </c>
      <c r="J1" s="22" t="s">
        <v>23</v>
      </c>
      <c r="K1" s="22" t="s">
        <v>24</v>
      </c>
      <c r="L1" s="22" t="s">
        <v>25</v>
      </c>
      <c r="M1" s="22" t="s">
        <v>26</v>
      </c>
      <c r="N1" s="22" t="s">
        <v>27</v>
      </c>
      <c r="O1" s="22" t="s">
        <v>28</v>
      </c>
    </row>
    <row r="2" spans="1:15" x14ac:dyDescent="0.35">
      <c r="D2" s="23">
        <f>1/12</f>
        <v>8.3333333333333329E-2</v>
      </c>
      <c r="E2" s="23">
        <f>2/12</f>
        <v>0.16666666666666666</v>
      </c>
      <c r="F2" s="23">
        <f>3/12</f>
        <v>0.25</v>
      </c>
      <c r="G2" s="23">
        <f>4/12</f>
        <v>0.33333333333333331</v>
      </c>
      <c r="H2" s="23">
        <f>5/12</f>
        <v>0.41666666666666669</v>
      </c>
      <c r="I2" s="23">
        <f>6/12</f>
        <v>0.5</v>
      </c>
      <c r="J2" s="23">
        <f>7/12</f>
        <v>0.58333333333333337</v>
      </c>
      <c r="K2" s="23">
        <f>8/12</f>
        <v>0.66666666666666663</v>
      </c>
      <c r="L2" s="23">
        <f>9/12</f>
        <v>0.75</v>
      </c>
      <c r="M2" s="23">
        <f>10/12</f>
        <v>0.83333333333333337</v>
      </c>
      <c r="N2" s="23">
        <f>11/12</f>
        <v>0.91666666666666663</v>
      </c>
      <c r="O2" s="23">
        <f>12/12</f>
        <v>1</v>
      </c>
    </row>
    <row r="3" spans="1:15" x14ac:dyDescent="0.35">
      <c r="A3" t="s">
        <v>29</v>
      </c>
      <c r="B3" s="24">
        <v>1285931</v>
      </c>
      <c r="C3" s="24">
        <f t="shared" ref="C3:C7" si="0">SUM(D3:O3)</f>
        <v>790382</v>
      </c>
      <c r="D3" s="24">
        <v>193097</v>
      </c>
      <c r="E3" s="24">
        <v>205792</v>
      </c>
      <c r="F3" s="24">
        <v>292841</v>
      </c>
      <c r="G3" s="24">
        <v>98652</v>
      </c>
      <c r="H3" s="24"/>
      <c r="I3" s="24"/>
      <c r="J3" s="24"/>
      <c r="K3" s="24"/>
      <c r="L3" s="24"/>
      <c r="M3" s="24"/>
      <c r="N3" s="24"/>
      <c r="O3" s="24"/>
    </row>
    <row r="4" spans="1:15" x14ac:dyDescent="0.35">
      <c r="A4" t="s">
        <v>30</v>
      </c>
      <c r="B4" s="24">
        <v>637777</v>
      </c>
      <c r="C4" s="24">
        <f t="shared" si="0"/>
        <v>543903.23</v>
      </c>
      <c r="D4" s="24">
        <v>145404.07999999999</v>
      </c>
      <c r="E4" s="24">
        <v>131658.85999999999</v>
      </c>
      <c r="F4" s="24">
        <v>169557.29</v>
      </c>
      <c r="G4" s="24">
        <v>97283</v>
      </c>
      <c r="H4" s="24"/>
      <c r="I4" s="24"/>
      <c r="J4" s="24"/>
      <c r="K4" s="24"/>
      <c r="L4" s="24"/>
      <c r="M4" s="24"/>
      <c r="N4" s="24"/>
      <c r="O4" s="24"/>
    </row>
    <row r="5" spans="1:15" x14ac:dyDescent="0.35"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35">
      <c r="A6" t="s">
        <v>31</v>
      </c>
      <c r="B6" s="24">
        <v>183333</v>
      </c>
      <c r="C6" s="24">
        <f t="shared" si="0"/>
        <v>0</v>
      </c>
      <c r="D6" s="24">
        <v>0</v>
      </c>
      <c r="E6" s="24">
        <v>0</v>
      </c>
      <c r="F6" s="24">
        <v>0</v>
      </c>
      <c r="G6" s="24">
        <v>0</v>
      </c>
      <c r="H6" s="24"/>
      <c r="I6" s="24"/>
      <c r="J6" s="24"/>
      <c r="K6" s="24"/>
      <c r="L6" s="24"/>
      <c r="M6" s="24"/>
      <c r="N6" s="24"/>
      <c r="O6" s="24"/>
    </row>
    <row r="7" spans="1:15" x14ac:dyDescent="0.35">
      <c r="A7" t="s">
        <v>32</v>
      </c>
      <c r="B7" s="24">
        <v>0</v>
      </c>
      <c r="C7" s="24">
        <f t="shared" si="0"/>
        <v>0</v>
      </c>
      <c r="D7" s="24">
        <v>0</v>
      </c>
      <c r="E7" s="24">
        <v>0</v>
      </c>
      <c r="F7" s="24">
        <v>0</v>
      </c>
      <c r="G7" s="24">
        <v>0</v>
      </c>
      <c r="H7" s="24"/>
      <c r="I7" s="24"/>
      <c r="J7" s="24"/>
      <c r="K7" s="24"/>
      <c r="L7" s="24"/>
      <c r="M7" s="24"/>
      <c r="N7" s="24"/>
      <c r="O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 Fund Summary</vt:lpstr>
      <vt:lpstr>Gen Fund Raw Data</vt:lpstr>
      <vt:lpstr>PWA Fund Summary</vt:lpstr>
      <vt:lpstr>PWA Raw Data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Crawford</dc:creator>
  <cp:lastModifiedBy>Brittany Long</cp:lastModifiedBy>
  <cp:lastPrinted>2021-05-24T17:33:24Z</cp:lastPrinted>
  <dcterms:created xsi:type="dcterms:W3CDTF">2018-11-29T21:21:15Z</dcterms:created>
  <dcterms:modified xsi:type="dcterms:W3CDTF">2021-11-23T14:56:03Z</dcterms:modified>
</cp:coreProperties>
</file>